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eMorris\Downloads\"/>
    </mc:Choice>
  </mc:AlternateContent>
  <xr:revisionPtr revIDLastSave="0" documentId="13_ncr:1_{C69DE60F-F220-43A3-8515-82967F40930E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ROI Calculator" sheetId="1" r:id="rId1"/>
    <sheet name="Social Breakdown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J15" i="2"/>
  <c r="I15" i="2"/>
  <c r="H15" i="2"/>
  <c r="L15" i="2" s="1"/>
  <c r="K14" i="2"/>
  <c r="J14" i="2"/>
  <c r="I14" i="2"/>
  <c r="H14" i="2"/>
  <c r="L14" i="2" s="1"/>
  <c r="K13" i="2"/>
  <c r="J13" i="2"/>
  <c r="I13" i="2"/>
  <c r="H13" i="2"/>
  <c r="L13" i="2" s="1"/>
  <c r="K12" i="2"/>
  <c r="J12" i="2"/>
  <c r="I12" i="2"/>
  <c r="H12" i="2"/>
  <c r="L12" i="2" s="1"/>
  <c r="L11" i="2"/>
  <c r="K11" i="2"/>
  <c r="J11" i="2"/>
  <c r="I11" i="2"/>
  <c r="H11" i="2"/>
  <c r="L10" i="2"/>
  <c r="K10" i="2"/>
  <c r="J10" i="2"/>
  <c r="I10" i="2"/>
  <c r="H10" i="2"/>
  <c r="K9" i="2"/>
  <c r="J9" i="2"/>
  <c r="I9" i="2"/>
  <c r="H9" i="2"/>
  <c r="L9" i="2" s="1"/>
  <c r="K8" i="2"/>
  <c r="J8" i="2"/>
  <c r="I8" i="2"/>
  <c r="H8" i="2"/>
  <c r="L8" i="2" s="1"/>
  <c r="L7" i="2"/>
  <c r="K7" i="2"/>
  <c r="J7" i="2"/>
  <c r="I7" i="2"/>
  <c r="H7" i="2"/>
  <c r="AC6" i="2"/>
  <c r="AB6" i="2"/>
  <c r="Z6" i="2"/>
  <c r="Y6" i="2"/>
  <c r="X6" i="2"/>
  <c r="AA6" i="2" s="1"/>
  <c r="K6" i="2"/>
  <c r="J6" i="2"/>
  <c r="I6" i="2"/>
  <c r="H6" i="2"/>
  <c r="L6" i="2" s="1"/>
  <c r="AC5" i="2"/>
  <c r="AB5" i="2"/>
  <c r="Z5" i="2"/>
  <c r="Y5" i="2"/>
  <c r="X5" i="2"/>
  <c r="AA5" i="2" s="1"/>
  <c r="Q5" i="2"/>
  <c r="T5" i="2" s="1"/>
  <c r="P5" i="2"/>
  <c r="S5" i="2" s="1"/>
  <c r="O5" i="2"/>
  <c r="K5" i="2"/>
  <c r="J5" i="2"/>
  <c r="I5" i="2"/>
  <c r="H5" i="2"/>
  <c r="L5" i="2" s="1"/>
  <c r="AC4" i="2"/>
  <c r="AB4" i="2"/>
  <c r="Z4" i="2"/>
  <c r="X4" i="2"/>
  <c r="Q4" i="2"/>
  <c r="Q6" i="2" s="1"/>
  <c r="P4" i="2"/>
  <c r="P6" i="2" s="1"/>
  <c r="O4" i="2"/>
  <c r="K4" i="2"/>
  <c r="J4" i="2"/>
  <c r="I4" i="2"/>
  <c r="H4" i="2"/>
  <c r="R4" i="2" s="1"/>
  <c r="E9" i="1"/>
  <c r="I9" i="1" s="1"/>
  <c r="D9" i="1"/>
  <c r="H9" i="1" s="1"/>
  <c r="C9" i="1"/>
  <c r="E8" i="1"/>
  <c r="I8" i="1" s="1"/>
  <c r="D8" i="1"/>
  <c r="H8" i="1" s="1"/>
  <c r="C8" i="1"/>
  <c r="J6" i="1"/>
  <c r="I6" i="1"/>
  <c r="H6" i="1"/>
  <c r="G6" i="1"/>
  <c r="L6" i="1" s="1"/>
  <c r="K5" i="1"/>
  <c r="J5" i="1"/>
  <c r="I5" i="1"/>
  <c r="H5" i="1"/>
  <c r="G5" i="1"/>
  <c r="L5" i="1" s="1"/>
  <c r="K4" i="1"/>
  <c r="J4" i="1"/>
  <c r="I4" i="1"/>
  <c r="H4" i="1"/>
  <c r="G4" i="1"/>
  <c r="L4" i="1" s="1"/>
  <c r="U4" i="2" l="1"/>
  <c r="G8" i="1"/>
  <c r="L8" i="1" s="1"/>
  <c r="R6" i="2"/>
  <c r="G7" i="1" s="1"/>
  <c r="G11" i="1" s="1"/>
  <c r="S6" i="2"/>
  <c r="D7" i="1"/>
  <c r="T6" i="2"/>
  <c r="E7" i="1"/>
  <c r="J8" i="1"/>
  <c r="S4" i="2"/>
  <c r="K8" i="1"/>
  <c r="T4" i="2"/>
  <c r="R5" i="2"/>
  <c r="G9" i="1" s="1"/>
  <c r="F9" i="1" s="1"/>
  <c r="O6" i="2"/>
  <c r="Y4" i="2"/>
  <c r="AA4" i="2" s="1"/>
  <c r="J9" i="1"/>
  <c r="K9" i="1"/>
  <c r="K6" i="1"/>
  <c r="L4" i="2"/>
  <c r="F8" i="1"/>
  <c r="E11" i="1" l="1"/>
  <c r="F7" i="1"/>
  <c r="L9" i="1"/>
  <c r="D11" i="1"/>
  <c r="J7" i="1"/>
  <c r="U5" i="2"/>
  <c r="E7" i="3" s="1"/>
  <c r="C7" i="1"/>
  <c r="I7" i="1" s="1"/>
  <c r="A7" i="3" s="1"/>
  <c r="U6" i="2"/>
  <c r="H7" i="1" l="1"/>
  <c r="I7" i="3"/>
  <c r="F11" i="1"/>
  <c r="C11" i="1"/>
  <c r="L7" i="1"/>
  <c r="K7" i="1"/>
  <c r="J11" i="1"/>
  <c r="H11" i="1"/>
  <c r="A4" i="3" l="1"/>
  <c r="E4" i="3"/>
  <c r="K11" i="1"/>
  <c r="I4" i="3" s="1"/>
  <c r="L11" i="1"/>
  <c r="I11" i="1"/>
</calcChain>
</file>

<file path=xl/sharedStrings.xml><?xml version="1.0" encoding="utf-8"?>
<sst xmlns="http://schemas.openxmlformats.org/spreadsheetml/2006/main" count="115" uniqueCount="55">
  <si>
    <t>Marketing ROI Calculator</t>
  </si>
  <si>
    <t>Channel</t>
  </si>
  <si>
    <t>Segment</t>
  </si>
  <si>
    <t>Spend (£)</t>
  </si>
  <si>
    <t>Leads</t>
  </si>
  <si>
    <t>Conversions</t>
  </si>
  <si>
    <t>Avg Deal Value (£)</t>
  </si>
  <si>
    <t>Revenue (£)</t>
  </si>
  <si>
    <t>CPL (£)</t>
  </si>
  <si>
    <t>CPA (£)</t>
  </si>
  <si>
    <t>Conv. Rate</t>
  </si>
  <si>
    <t>ROI (%)</t>
  </si>
  <si>
    <t>ROAS</t>
  </si>
  <si>
    <t>Google Ads</t>
  </si>
  <si>
    <t>Paid Search</t>
  </si>
  <si>
    <t>LinkedIn Ads</t>
  </si>
  <si>
    <t>Paid Social</t>
  </si>
  <si>
    <t>Email</t>
  </si>
  <si>
    <t>Owned</t>
  </si>
  <si>
    <t>Social Media Total</t>
  </si>
  <si>
    <t>Auto-rollup</t>
  </si>
  <si>
    <t xml:space="preserve">  Paid Social</t>
  </si>
  <si>
    <t xml:space="preserve">  Organic Social</t>
  </si>
  <si>
    <t>TOTAL Marketing</t>
  </si>
  <si>
    <t>Notes:</t>
  </si>
  <si>
    <t>Social Media rows roll up automatically from the Social Breakdown tab; update the raw social lines there.</t>
  </si>
  <si>
    <t>Social Media Breakdown</t>
  </si>
  <si>
    <t>Social Summary</t>
  </si>
  <si>
    <t>Monthly Social Trend</t>
  </si>
  <si>
    <t>Month</t>
  </si>
  <si>
    <t>Social Type</t>
  </si>
  <si>
    <t>Platform</t>
  </si>
  <si>
    <t>Category</t>
  </si>
  <si>
    <t>Paid Conv.</t>
  </si>
  <si>
    <t>Organic Conv.</t>
  </si>
  <si>
    <t>Jan-2026</t>
  </si>
  <si>
    <t>Facebook Ads</t>
  </si>
  <si>
    <t>TikTok Ads</t>
  </si>
  <si>
    <t>Organic Social</t>
  </si>
  <si>
    <t>Feb-2026</t>
  </si>
  <si>
    <t>Instagram Organic</t>
  </si>
  <si>
    <t>Combined Social</t>
  </si>
  <si>
    <t>Mar-2026</t>
  </si>
  <si>
    <t>LinkedIn Organic</t>
  </si>
  <si>
    <t>Use the blue cells in rows 4:15 to update paid and organic platform results.</t>
  </si>
  <si>
    <t>Marketing ROI Dashboard</t>
  </si>
  <si>
    <t>Top Channel by ROI</t>
  </si>
  <si>
    <t>Highest ROI</t>
  </si>
  <si>
    <t>Overall ROI</t>
  </si>
  <si>
    <t>Lowest CPA Channel</t>
  </si>
  <si>
    <t>Best Social Type</t>
  </si>
  <si>
    <t>Total Acquisitions</t>
  </si>
  <si>
    <t>Data comes from Social Media breakdown tab</t>
  </si>
  <si>
    <t>Columns C/D/E/F manaul input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</si>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</sst>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;[Red]\(\£#,##0.00\);\-"/>
    <numFmt numFmtId="165" formatCode="0.0%;[Red]\(0.0%\)"/>
    <numFmt numFmtId="166" formatCode="0.0\x"/>
  </numFmts>
  <fonts count="12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name val="Calibri"/>
    </font>
    <font>
      <b/>
      <sz val="11"/>
      <color rgb="FF666666"/>
      <name val="Calibri"/>
    </font>
    <font>
      <i/>
      <sz val="11"/>
      <color rgb="FF666666"/>
      <name val="Calibri"/>
    </font>
    <font>
      <b/>
      <sz val="11"/>
      <color rgb="FF1F4E78"/>
      <name val="Calibri"/>
    </font>
    <font>
      <b/>
      <sz val="14"/>
      <color rgb="FF000000"/>
      <name val="Calib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5F9FC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 style="thin">
        <color rgb="FFB7C9D6"/>
      </top>
      <bottom style="thin">
        <color rgb="FFB7C9D6"/>
      </bottom>
      <diagonal/>
    </border>
    <border>
      <left/>
      <right style="thin">
        <color rgb="FFB7C9D6"/>
      </right>
      <top style="thin">
        <color rgb="FFB7C9D6"/>
      </top>
      <bottom style="thin">
        <color rgb="FFB7C9D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7C9D6"/>
      </left>
      <right/>
      <top style="thin">
        <color rgb="FFB7C9D6"/>
      </top>
      <bottom style="thin">
        <color rgb="FFB7C9D6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164" fontId="3" fillId="0" borderId="2" xfId="0" applyNumberFormat="1" applyFont="1" applyBorder="1"/>
    <xf numFmtId="3" fontId="3" fillId="0" borderId="2" xfId="0" applyNumberFormat="1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0" fillId="3" borderId="2" xfId="0" applyFill="1" applyBorder="1"/>
    <xf numFmtId="164" fontId="4" fillId="3" borderId="2" xfId="0" applyNumberFormat="1" applyFont="1" applyFill="1" applyBorder="1"/>
    <xf numFmtId="3" fontId="4" fillId="3" borderId="2" xfId="0" applyNumberFormat="1" applyFont="1" applyFill="1" applyBorder="1"/>
    <xf numFmtId="165" fontId="4" fillId="3" borderId="2" xfId="0" applyNumberFormat="1" applyFont="1" applyFill="1" applyBorder="1"/>
    <xf numFmtId="0" fontId="0" fillId="4" borderId="2" xfId="0" applyFill="1" applyBorder="1"/>
    <xf numFmtId="164" fontId="4" fillId="4" borderId="2" xfId="0" applyNumberFormat="1" applyFont="1" applyFill="1" applyBorder="1"/>
    <xf numFmtId="3" fontId="4" fillId="4" borderId="2" xfId="0" applyNumberFormat="1" applyFont="1" applyFill="1" applyBorder="1"/>
    <xf numFmtId="165" fontId="4" fillId="4" borderId="2" xfId="0" applyNumberFormat="1" applyFont="1" applyFill="1" applyBorder="1"/>
    <xf numFmtId="0" fontId="0" fillId="5" borderId="2" xfId="0" applyFill="1" applyBorder="1"/>
    <xf numFmtId="164" fontId="4" fillId="5" borderId="2" xfId="0" applyNumberFormat="1" applyFont="1" applyFill="1" applyBorder="1"/>
    <xf numFmtId="3" fontId="4" fillId="5" borderId="2" xfId="0" applyNumberFormat="1" applyFont="1" applyFill="1" applyBorder="1"/>
    <xf numFmtId="165" fontId="4" fillId="5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3" fontId="0" fillId="6" borderId="0" xfId="0" applyNumberFormat="1" applyFill="1"/>
    <xf numFmtId="165" fontId="0" fillId="6" borderId="0" xfId="0" applyNumberFormat="1" applyFill="1"/>
    <xf numFmtId="166" fontId="0" fillId="6" borderId="0" xfId="0" applyNumberFormat="1" applyFill="1"/>
    <xf numFmtId="0" fontId="5" fillId="7" borderId="3" xfId="0" applyFont="1" applyFill="1" applyBorder="1"/>
    <xf numFmtId="164" fontId="5" fillId="7" borderId="3" xfId="0" applyNumberFormat="1" applyFont="1" applyFill="1" applyBorder="1"/>
    <xf numFmtId="3" fontId="5" fillId="7" borderId="3" xfId="0" applyNumberFormat="1" applyFont="1" applyFill="1" applyBorder="1"/>
    <xf numFmtId="165" fontId="5" fillId="7" borderId="3" xfId="0" applyNumberFormat="1" applyFont="1" applyFill="1" applyBorder="1"/>
    <xf numFmtId="166" fontId="5" fillId="7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0" fillId="8" borderId="2" xfId="0" applyFill="1" applyBorder="1"/>
    <xf numFmtId="164" fontId="3" fillId="8" borderId="2" xfId="0" applyNumberFormat="1" applyFont="1" applyFill="1" applyBorder="1"/>
    <xf numFmtId="3" fontId="3" fillId="8" borderId="2" xfId="0" applyNumberFormat="1" applyFont="1" applyFill="1" applyBorder="1"/>
    <xf numFmtId="164" fontId="0" fillId="8" borderId="0" xfId="0" applyNumberFormat="1" applyFill="1"/>
    <xf numFmtId="165" fontId="0" fillId="8" borderId="0" xfId="0" applyNumberFormat="1" applyFill="1"/>
    <xf numFmtId="164" fontId="0" fillId="8" borderId="2" xfId="0" applyNumberFormat="1" applyFill="1" applyBorder="1"/>
    <xf numFmtId="3" fontId="0" fillId="8" borderId="2" xfId="0" applyNumberFormat="1" applyFill="1" applyBorder="1"/>
    <xf numFmtId="165" fontId="0" fillId="8" borderId="2" xfId="0" applyNumberFormat="1" applyFill="1" applyBorder="1"/>
    <xf numFmtId="0" fontId="0" fillId="9" borderId="2" xfId="0" applyFill="1" applyBorder="1"/>
    <xf numFmtId="164" fontId="0" fillId="9" borderId="2" xfId="0" applyNumberFormat="1" applyFill="1" applyBorder="1"/>
    <xf numFmtId="3" fontId="0" fillId="9" borderId="2" xfId="0" applyNumberFormat="1" applyFill="1" applyBorder="1"/>
    <xf numFmtId="165" fontId="0" fillId="9" borderId="2" xfId="0" applyNumberFormat="1" applyFill="1" applyBorder="1"/>
    <xf numFmtId="164" fontId="0" fillId="5" borderId="2" xfId="0" applyNumberFormat="1" applyFill="1" applyBorder="1"/>
    <xf numFmtId="3" fontId="0" fillId="5" borderId="2" xfId="0" applyNumberFormat="1" applyFill="1" applyBorder="1"/>
    <xf numFmtId="165" fontId="0" fillId="5" borderId="2" xfId="0" applyNumberFormat="1" applyFill="1" applyBorder="1"/>
    <xf numFmtId="164" fontId="3" fillId="5" borderId="2" xfId="0" applyNumberFormat="1" applyFont="1" applyFill="1" applyBorder="1"/>
    <xf numFmtId="3" fontId="3" fillId="5" borderId="2" xfId="0" applyNumberFormat="1" applyFont="1" applyFill="1" applyBorder="1"/>
    <xf numFmtId="164" fontId="0" fillId="5" borderId="0" xfId="0" applyNumberFormat="1" applyFill="1"/>
    <xf numFmtId="165" fontId="0" fillId="5" borderId="0" xfId="0" applyNumberFormat="1" applyFill="1"/>
    <xf numFmtId="164" fontId="0" fillId="3" borderId="2" xfId="0" applyNumberFormat="1" applyFill="1" applyBorder="1"/>
    <xf numFmtId="3" fontId="0" fillId="3" borderId="2" xfId="0" applyNumberFormat="1" applyFill="1" applyBorder="1"/>
    <xf numFmtId="165" fontId="0" fillId="3" borderId="2" xfId="0" applyNumberFormat="1" applyFill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165" fontId="9" fillId="9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8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3" fontId="9" fillId="9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10" fillId="0" borderId="0" xfId="0" applyFont="1"/>
    <xf numFmtId="166" fontId="4" fillId="0" borderId="7" xfId="0" applyNumberFormat="1" applyFont="1" applyBorder="1"/>
    <xf numFmtId="166" fontId="4" fillId="3" borderId="7" xfId="0" applyNumberFormat="1" applyFont="1" applyFill="1" applyBorder="1"/>
    <xf numFmtId="166" fontId="4" fillId="4" borderId="7" xfId="0" applyNumberFormat="1" applyFont="1" applyFill="1" applyBorder="1"/>
    <xf numFmtId="166" fontId="4" fillId="5" borderId="7" xfId="0" applyNumberFormat="1" applyFont="1" applyFill="1" applyBorder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ROI by Channel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'ROI Calculator'!$K$3</c:f>
              <c:strCache>
                <c:ptCount val="1"/>
                <c:pt idx="0">
                  <c:v>ROI (%)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'ROI Calculator'!$A$4:$A$7</c:f>
              <c:strCache>
                <c:ptCount val="4"/>
                <c:pt idx="0">
                  <c:v>Google Ads</c:v>
                </c:pt>
                <c:pt idx="1">
                  <c:v>LinkedIn Ads</c:v>
                </c:pt>
                <c:pt idx="2">
                  <c:v>Email</c:v>
                </c:pt>
                <c:pt idx="3">
                  <c:v>Social Media Total</c:v>
                </c:pt>
              </c:strCache>
            </c:strRef>
          </c:cat>
          <c:val>
            <c:numRef>
              <c:f>'ROI Calculator'!$K$4:$K$7</c:f>
              <c:numCache>
                <c:formatCode>0.0%;[Red]\(0.0%\)</c:formatCode>
                <c:ptCount val="4"/>
                <c:pt idx="0">
                  <c:v>3</c:v>
                </c:pt>
                <c:pt idx="1">
                  <c:v>2.3332999999999999</c:v>
                </c:pt>
                <c:pt idx="2">
                  <c:v>14</c:v>
                </c:pt>
                <c:pt idx="3">
                  <c:v>6.1439000000000004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0-4CEC-B00B-EE7A7D6F14C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GB"/>
                  <a:t>ROI (%)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Channel</a:t>
                </a:r>
              </a:p>
            </c:rich>
          </c:tx>
          <c:overlay val="1"/>
        </c:title>
        <c:numFmt formatCode="0.0%;[Red]\(0.0%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Spend vs Revenue by Channel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'ROI Calculator'!$C$3</c:f>
              <c:strCache>
                <c:ptCount val="1"/>
                <c:pt idx="0">
                  <c:v>Spend (£)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'ROI Calculator'!$A$4:$A$7</c:f>
              <c:strCache>
                <c:ptCount val="4"/>
                <c:pt idx="0">
                  <c:v>Google Ads</c:v>
                </c:pt>
                <c:pt idx="1">
                  <c:v>LinkedIn Ads</c:v>
                </c:pt>
                <c:pt idx="2">
                  <c:v>Email</c:v>
                </c:pt>
                <c:pt idx="3">
                  <c:v>Social Media Total</c:v>
                </c:pt>
              </c:strCache>
            </c:strRef>
          </c:cat>
          <c:val>
            <c:numRef>
              <c:f>'ROI Calculator'!$C$4:$C$7</c:f>
              <c:numCache>
                <c:formatCode>\£#,##0.00;[Red]\(\£#,##0.00\);\-</c:formatCode>
                <c:ptCount val="4"/>
                <c:pt idx="0">
                  <c:v>2000</c:v>
                </c:pt>
                <c:pt idx="1">
                  <c:v>1500</c:v>
                </c:pt>
                <c:pt idx="2">
                  <c:v>500</c:v>
                </c:pt>
                <c:pt idx="3">
                  <c:v>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8-49E0-8E0A-9A7E0C47D314}"/>
            </c:ext>
          </c:extLst>
        </c:ser>
        <c:ser>
          <c:idx val="1"/>
          <c:order val="1"/>
          <c:tx>
            <c:strRef>
              <c:f>'ROI Calculator'!$G$3</c:f>
              <c:strCache>
                <c:ptCount val="1"/>
                <c:pt idx="0">
                  <c:v>Revenue (£)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'ROI Calculator'!$A$4:$A$7</c:f>
              <c:strCache>
                <c:ptCount val="4"/>
                <c:pt idx="0">
                  <c:v>Google Ads</c:v>
                </c:pt>
                <c:pt idx="1">
                  <c:v>LinkedIn Ads</c:v>
                </c:pt>
                <c:pt idx="2">
                  <c:v>Email</c:v>
                </c:pt>
                <c:pt idx="3">
                  <c:v>Social Media Total</c:v>
                </c:pt>
              </c:strCache>
            </c:strRef>
          </c:cat>
          <c:val>
            <c:numRef>
              <c:f>'ROI Calculator'!$G$4:$G$7</c:f>
              <c:numCache>
                <c:formatCode>\£#,##0.00;[Red]\(\£#,##0.00\);\-</c:formatCode>
                <c:ptCount val="4"/>
                <c:pt idx="0">
                  <c:v>8000</c:v>
                </c:pt>
                <c:pt idx="1">
                  <c:v>5000</c:v>
                </c:pt>
                <c:pt idx="2">
                  <c:v>7500</c:v>
                </c:pt>
                <c:pt idx="3">
                  <c:v>29790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8-49E0-8E0A-9A7E0C47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Channel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GB"/>
                  <a:t>£</a:t>
                </a:r>
              </a:p>
            </c:rich>
          </c:tx>
          <c:overlay val="1"/>
        </c:title>
        <c:numFmt formatCode="\£#,##0.00;[Red]\(\£#,##0.00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Monthly Social Acquisitions Trend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'Social Breakdown'!$AB$3</c:f>
              <c:strCache>
                <c:ptCount val="1"/>
                <c:pt idx="0">
                  <c:v>Paid Conv.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'Social Breakdown'!$W$4:$W$6</c:f>
              <c:strCache>
                <c:ptCount val="3"/>
                <c:pt idx="0">
                  <c:v>Jan-2026</c:v>
                </c:pt>
                <c:pt idx="1">
                  <c:v>Feb-2026</c:v>
                </c:pt>
                <c:pt idx="2">
                  <c:v>Mar-2026</c:v>
                </c:pt>
              </c:strCache>
            </c:strRef>
          </c:cat>
          <c:val>
            <c:numRef>
              <c:f>'Social Breakdown'!$AB$4:$AB$6</c:f>
              <c:numCache>
                <c:formatCode>#,##0</c:formatCode>
                <c:ptCount val="3"/>
                <c:pt idx="0">
                  <c:v>14</c:v>
                </c:pt>
                <c:pt idx="1">
                  <c:v>16</c:v>
                </c:pt>
                <c:pt idx="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2-4467-A7B6-90716596FC45}"/>
            </c:ext>
          </c:extLst>
        </c:ser>
        <c:ser>
          <c:idx val="1"/>
          <c:order val="1"/>
          <c:tx>
            <c:strRef>
              <c:f>'Social Breakdown'!$AC$3</c:f>
              <c:strCache>
                <c:ptCount val="1"/>
                <c:pt idx="0">
                  <c:v>Organic Conv.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'Social Breakdown'!$W$4:$W$6</c:f>
              <c:strCache>
                <c:ptCount val="3"/>
                <c:pt idx="0">
                  <c:v>Jan-2026</c:v>
                </c:pt>
                <c:pt idx="1">
                  <c:v>Feb-2026</c:v>
                </c:pt>
                <c:pt idx="2">
                  <c:v>Mar-2026</c:v>
                </c:pt>
              </c:strCache>
            </c:strRef>
          </c:cat>
          <c:val>
            <c:numRef>
              <c:f>'Social Breakdown'!$AC$4:$AC$6</c:f>
              <c:numCache>
                <c:formatCode>#,##0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2-4467-A7B6-90716596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Month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GB"/>
                  <a:t>Conversions</a:t>
                </a:r>
              </a:p>
            </c:rich>
          </c:tx>
          <c:overlay val="1"/>
        </c:title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Paid vs Organic Social Spend</a:t>
            </a:r>
          </a:p>
        </c:rich>
      </c:tx>
      <c:layout>
        <c:manualLayout>
          <c:xMode val="edge"/>
          <c:yMode val="edge"/>
          <c:x val="0.13672619047619045"/>
          <c:y val="3.11111111111111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'Social Breakdown'!$O$3</c:f>
              <c:strCache>
                <c:ptCount val="1"/>
                <c:pt idx="0">
                  <c:v>Spend (£)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'Social Breakdown'!$N$4:$N$5</c:f>
              <c:strCache>
                <c:ptCount val="2"/>
                <c:pt idx="0">
                  <c:v>Paid Social</c:v>
                </c:pt>
                <c:pt idx="1">
                  <c:v>Organic Social</c:v>
                </c:pt>
              </c:strCache>
            </c:strRef>
          </c:cat>
          <c:val>
            <c:numRef>
              <c:f>'Social Breakdown'!$O$4:$O$5</c:f>
              <c:numCache>
                <c:formatCode>\£#,##0.00;[Red]\(\£#,##0.00\);\-</c:formatCode>
                <c:ptCount val="2"/>
                <c:pt idx="0">
                  <c:v>3300</c:v>
                </c:pt>
                <c:pt idx="1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0-408E-B99D-6DBC76DEB6E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190498</xdr:rowOff>
    </xdr:from>
    <xdr:to>
      <xdr:col>5</xdr:col>
      <xdr:colOff>342900</xdr:colOff>
      <xdr:row>23</xdr:row>
      <xdr:rowOff>57150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571499</xdr:colOff>
      <xdr:row>8</xdr:row>
      <xdr:rowOff>190499</xdr:rowOff>
    </xdr:from>
    <xdr:to>
      <xdr:col>13</xdr:col>
      <xdr:colOff>9524</xdr:colOff>
      <xdr:row>23</xdr:row>
      <xdr:rowOff>85725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152400</xdr:rowOff>
    </xdr:from>
    <xdr:to>
      <xdr:col>5</xdr:col>
      <xdr:colOff>323850</xdr:colOff>
      <xdr:row>39</xdr:row>
      <xdr:rowOff>152400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619124</xdr:colOff>
      <xdr:row>24</xdr:row>
      <xdr:rowOff>133349</xdr:rowOff>
    </xdr:from>
    <xdr:to>
      <xdr:col>13</xdr:col>
      <xdr:colOff>66675</xdr:colOff>
      <xdr:row>40</xdr:row>
      <xdr:rowOff>9525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showGridLines="0" zoomScale="140" zoomScaleNormal="140" workbookViewId="0">
      <selection activeCell="M13" sqref="M13"/>
    </sheetView>
  </sheetViews>
  <sheetFormatPr defaultRowHeight="15" x14ac:dyDescent="0.25"/>
  <cols>
    <col min="1" max="1" width="20" customWidth="1"/>
    <col min="2" max="2" width="16" customWidth="1"/>
    <col min="3" max="3" width="14" customWidth="1"/>
    <col min="4" max="4" width="12" customWidth="1"/>
    <col min="5" max="5" width="14" customWidth="1"/>
    <col min="6" max="6" width="18" customWidth="1"/>
    <col min="7" max="7" width="14" customWidth="1"/>
    <col min="8" max="11" width="12" customWidth="1"/>
    <col min="12" max="12" width="10" customWidth="1"/>
    <col min="13" max="13" width="42.42578125" bestFit="1" customWidth="1"/>
  </cols>
  <sheetData>
    <row r="1" spans="1:17" ht="2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2" t="s">
        <v>54</v>
      </c>
    </row>
    <row r="3" spans="1:1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7" x14ac:dyDescent="0.25">
      <c r="A4" s="2" t="s">
        <v>13</v>
      </c>
      <c r="B4" s="2" t="s">
        <v>14</v>
      </c>
      <c r="C4" s="3">
        <v>2000</v>
      </c>
      <c r="D4" s="4">
        <v>100</v>
      </c>
      <c r="E4" s="4">
        <v>20</v>
      </c>
      <c r="F4" s="3">
        <v>400</v>
      </c>
      <c r="G4" s="5">
        <f>ROUND(E4*F4,2)</f>
        <v>8000</v>
      </c>
      <c r="H4" s="5">
        <f t="shared" ref="H4:H9" si="0">IF(D4=0,0,ROUND(C4/D4,2))</f>
        <v>20</v>
      </c>
      <c r="I4" s="5">
        <f t="shared" ref="I4:I9" si="1">IF(E4=0,0,ROUND(C4/E4,2))</f>
        <v>100</v>
      </c>
      <c r="J4" s="6">
        <f t="shared" ref="J4:J9" si="2">IF(D4=0,0,ROUND(E4/D4,4))</f>
        <v>0.2</v>
      </c>
      <c r="K4" s="6">
        <f t="shared" ref="K4:K9" si="3">IF(C4=0,0,ROUND((G4-C4)/C4,4))</f>
        <v>3</v>
      </c>
      <c r="L4" s="63">
        <f t="shared" ref="L4:L9" si="4">IF(C4=0,0,ROUND(G4/C4,2))</f>
        <v>4</v>
      </c>
      <c r="M4" s="67" t="s">
        <v>53</v>
      </c>
      <c r="N4" s="62"/>
      <c r="O4" s="62"/>
      <c r="P4" s="62"/>
      <c r="Q4" s="62"/>
    </row>
    <row r="5" spans="1:17" x14ac:dyDescent="0.25">
      <c r="A5" s="2" t="s">
        <v>15</v>
      </c>
      <c r="B5" s="2" t="s">
        <v>16</v>
      </c>
      <c r="C5" s="3">
        <v>1500</v>
      </c>
      <c r="D5" s="4">
        <v>60</v>
      </c>
      <c r="E5" s="4">
        <v>10</v>
      </c>
      <c r="F5" s="3">
        <v>500</v>
      </c>
      <c r="G5" s="5">
        <f>ROUND(E5*F5,2)</f>
        <v>5000</v>
      </c>
      <c r="H5" s="5">
        <f t="shared" si="0"/>
        <v>25</v>
      </c>
      <c r="I5" s="5">
        <f t="shared" si="1"/>
        <v>150</v>
      </c>
      <c r="J5" s="6">
        <f t="shared" si="2"/>
        <v>0.16669999999999999</v>
      </c>
      <c r="K5" s="6">
        <f t="shared" si="3"/>
        <v>2.3332999999999999</v>
      </c>
      <c r="L5" s="63">
        <f t="shared" si="4"/>
        <v>3.33</v>
      </c>
      <c r="M5" s="67" t="s">
        <v>53</v>
      </c>
      <c r="N5" s="62"/>
      <c r="O5" s="62"/>
      <c r="P5" s="62"/>
      <c r="Q5" s="62"/>
    </row>
    <row r="6" spans="1:17" x14ac:dyDescent="0.25">
      <c r="A6" s="2" t="s">
        <v>17</v>
      </c>
      <c r="B6" s="2" t="s">
        <v>18</v>
      </c>
      <c r="C6" s="3">
        <v>500</v>
      </c>
      <c r="D6" s="4">
        <v>80</v>
      </c>
      <c r="E6" s="4">
        <v>25</v>
      </c>
      <c r="F6" s="3">
        <v>300</v>
      </c>
      <c r="G6" s="5">
        <f>ROUND(E6*F6,2)</f>
        <v>7500</v>
      </c>
      <c r="H6" s="5">
        <f t="shared" si="0"/>
        <v>6.25</v>
      </c>
      <c r="I6" s="5">
        <f t="shared" si="1"/>
        <v>20</v>
      </c>
      <c r="J6" s="6">
        <f t="shared" si="2"/>
        <v>0.3125</v>
      </c>
      <c r="K6" s="6">
        <f t="shared" si="3"/>
        <v>14</v>
      </c>
      <c r="L6" s="63">
        <f t="shared" si="4"/>
        <v>15</v>
      </c>
      <c r="M6" s="67" t="s">
        <v>53</v>
      </c>
      <c r="N6" s="62"/>
      <c r="O6" s="62"/>
      <c r="P6" s="62"/>
      <c r="Q6" s="62"/>
    </row>
    <row r="7" spans="1:17" x14ac:dyDescent="0.25">
      <c r="A7" s="61" t="s">
        <v>19</v>
      </c>
      <c r="B7" s="7" t="s">
        <v>20</v>
      </c>
      <c r="C7" s="8">
        <f>'Social Breakdown'!O6</f>
        <v>4170</v>
      </c>
      <c r="D7" s="9">
        <f>'Social Breakdown'!P6</f>
        <v>484</v>
      </c>
      <c r="E7" s="9">
        <f>'Social Breakdown'!Q6</f>
        <v>88</v>
      </c>
      <c r="F7" s="8">
        <f>IF(E7=0,0,ROUND(G7/E7,2))</f>
        <v>338.52</v>
      </c>
      <c r="G7" s="8">
        <f>'Social Breakdown'!R6</f>
        <v>29790</v>
      </c>
      <c r="H7" s="8">
        <f t="shared" si="0"/>
        <v>8.6199999999999992</v>
      </c>
      <c r="I7" s="8">
        <f t="shared" si="1"/>
        <v>47.39</v>
      </c>
      <c r="J7" s="10">
        <f t="shared" si="2"/>
        <v>0.18179999999999999</v>
      </c>
      <c r="K7" s="10">
        <f t="shared" si="3"/>
        <v>6.1439000000000004</v>
      </c>
      <c r="L7" s="64">
        <f t="shared" si="4"/>
        <v>7.14</v>
      </c>
      <c r="M7" s="67" t="s">
        <v>52</v>
      </c>
      <c r="N7" s="62"/>
      <c r="O7" s="62"/>
      <c r="P7" s="62"/>
      <c r="Q7" s="62"/>
    </row>
    <row r="8" spans="1:17" x14ac:dyDescent="0.25">
      <c r="A8" s="11" t="s">
        <v>21</v>
      </c>
      <c r="B8" s="11" t="s">
        <v>20</v>
      </c>
      <c r="C8" s="12">
        <f>'Social Breakdown'!O4</f>
        <v>3300</v>
      </c>
      <c r="D8" s="13">
        <f>'Social Breakdown'!P4</f>
        <v>303</v>
      </c>
      <c r="E8" s="13">
        <f>'Social Breakdown'!Q4</f>
        <v>48</v>
      </c>
      <c r="F8" s="12">
        <f>IF(E8=0,0,ROUND(G8/E8,2))</f>
        <v>346.67</v>
      </c>
      <c r="G8" s="12">
        <f>'Social Breakdown'!R4</f>
        <v>16640</v>
      </c>
      <c r="H8" s="12">
        <f t="shared" si="0"/>
        <v>10.89</v>
      </c>
      <c r="I8" s="12">
        <f t="shared" si="1"/>
        <v>68.75</v>
      </c>
      <c r="J8" s="14">
        <f t="shared" si="2"/>
        <v>0.15840000000000001</v>
      </c>
      <c r="K8" s="14">
        <f t="shared" si="3"/>
        <v>4.0423999999999998</v>
      </c>
      <c r="L8" s="65">
        <f t="shared" si="4"/>
        <v>5.04</v>
      </c>
      <c r="M8" s="67" t="s">
        <v>52</v>
      </c>
      <c r="N8" s="62"/>
      <c r="O8" s="62"/>
      <c r="P8" s="62"/>
      <c r="Q8" s="62"/>
    </row>
    <row r="9" spans="1:17" x14ac:dyDescent="0.25">
      <c r="A9" s="15" t="s">
        <v>22</v>
      </c>
      <c r="B9" s="15" t="s">
        <v>20</v>
      </c>
      <c r="C9" s="16">
        <f>'Social Breakdown'!O5</f>
        <v>870</v>
      </c>
      <c r="D9" s="17">
        <f>'Social Breakdown'!P5</f>
        <v>181</v>
      </c>
      <c r="E9" s="17">
        <f>'Social Breakdown'!Q5</f>
        <v>40</v>
      </c>
      <c r="F9" s="16">
        <f>IF(E9=0,0,ROUND(G9/E9,2))</f>
        <v>328.75</v>
      </c>
      <c r="G9" s="16">
        <f>'Social Breakdown'!R5</f>
        <v>13150</v>
      </c>
      <c r="H9" s="16">
        <f t="shared" si="0"/>
        <v>4.8099999999999996</v>
      </c>
      <c r="I9" s="16">
        <f t="shared" si="1"/>
        <v>21.75</v>
      </c>
      <c r="J9" s="18">
        <f t="shared" si="2"/>
        <v>0.221</v>
      </c>
      <c r="K9" s="18">
        <f t="shared" si="3"/>
        <v>14.1149</v>
      </c>
      <c r="L9" s="66">
        <f t="shared" si="4"/>
        <v>15.11</v>
      </c>
      <c r="M9" s="67" t="s">
        <v>52</v>
      </c>
      <c r="N9" s="62"/>
      <c r="O9" s="62"/>
      <c r="P9" s="62"/>
      <c r="Q9" s="62"/>
    </row>
    <row r="10" spans="1:17" x14ac:dyDescent="0.25">
      <c r="A10" s="19"/>
      <c r="B10" s="19"/>
      <c r="C10" s="20"/>
      <c r="D10" s="21"/>
      <c r="E10" s="21"/>
      <c r="F10" s="20"/>
      <c r="G10" s="20"/>
      <c r="H10" s="20"/>
      <c r="I10" s="20"/>
      <c r="J10" s="22"/>
      <c r="K10" s="22"/>
      <c r="L10" s="23"/>
    </row>
    <row r="11" spans="1:17" x14ac:dyDescent="0.25">
      <c r="A11" s="24" t="s">
        <v>23</v>
      </c>
      <c r="B11" s="24"/>
      <c r="C11" s="25">
        <f>SUM(C4:C7)</f>
        <v>8170</v>
      </c>
      <c r="D11" s="26">
        <f>SUM(D4:D7)</f>
        <v>724</v>
      </c>
      <c r="E11" s="26">
        <f>SUM(E4:E7)</f>
        <v>143</v>
      </c>
      <c r="F11" s="25">
        <f>IF(E11=0,0,ROUND(G11/E11,2))</f>
        <v>351.68</v>
      </c>
      <c r="G11" s="25">
        <f>SUM(G4:G7)</f>
        <v>50290</v>
      </c>
      <c r="H11" s="25">
        <f>IF(D11=0,0,ROUND(C11/D11,2))</f>
        <v>11.28</v>
      </c>
      <c r="I11" s="25">
        <f>IF(E11=0,0,ROUND(C11/E11,2))</f>
        <v>57.13</v>
      </c>
      <c r="J11" s="27">
        <f>IF(D11=0,0,ROUND(E11/D11,4))</f>
        <v>0.19750000000000001</v>
      </c>
      <c r="K11" s="27">
        <f>IF(C11=0,0,ROUND((G11-C11)/C11,4))</f>
        <v>5.1554000000000002</v>
      </c>
      <c r="L11" s="28">
        <f>IF(C11=0,0,ROUND(G11/C11,2))</f>
        <v>6.16</v>
      </c>
    </row>
    <row r="13" spans="1:17" x14ac:dyDescent="0.25">
      <c r="A13" s="29" t="s">
        <v>24</v>
      </c>
      <c r="B13" s="30" t="s">
        <v>25</v>
      </c>
    </row>
  </sheetData>
  <mergeCells count="1">
    <mergeCell ref="A1:L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"/>
  <sheetViews>
    <sheetView showGridLines="0" tabSelected="1" topLeftCell="A2" workbookViewId="0">
      <selection activeCell="F4" sqref="F4"/>
    </sheetView>
  </sheetViews>
  <sheetFormatPr defaultRowHeight="15" x14ac:dyDescent="0.25"/>
  <cols>
    <col min="1" max="1" width="12" customWidth="1"/>
    <col min="2" max="2" width="16" customWidth="1"/>
    <col min="3" max="3" width="20" customWidth="1"/>
    <col min="4" max="4" width="12" customWidth="1"/>
    <col min="5" max="5" width="10" customWidth="1"/>
    <col min="6" max="6" width="12" customWidth="1"/>
    <col min="7" max="7" width="18" customWidth="1"/>
    <col min="8" max="8" width="14" customWidth="1"/>
    <col min="9" max="12" width="12" customWidth="1"/>
    <col min="14" max="14" width="68" bestFit="1" customWidth="1"/>
    <col min="15" max="29" width="15" customWidth="1"/>
  </cols>
  <sheetData>
    <row r="1" spans="1:29" ht="21" x14ac:dyDescent="0.25">
      <c r="A1" s="53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9" ht="21" x14ac:dyDescent="0.25">
      <c r="N2" s="53" t="s">
        <v>27</v>
      </c>
      <c r="O2" s="54"/>
      <c r="P2" s="54"/>
      <c r="Q2" s="54"/>
      <c r="R2" s="54"/>
      <c r="S2" s="54"/>
      <c r="T2" s="54"/>
      <c r="U2" s="54"/>
      <c r="W2" s="53" t="s">
        <v>28</v>
      </c>
      <c r="X2" s="54"/>
      <c r="Y2" s="54"/>
      <c r="Z2" s="54"/>
      <c r="AA2" s="54"/>
      <c r="AB2" s="54"/>
      <c r="AC2" s="54"/>
    </row>
    <row r="3" spans="1:29" x14ac:dyDescent="0.25">
      <c r="A3" s="1" t="s">
        <v>29</v>
      </c>
      <c r="B3" s="1" t="s">
        <v>30</v>
      </c>
      <c r="C3" s="1" t="s">
        <v>31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N3" s="1" t="s">
        <v>32</v>
      </c>
      <c r="O3" s="1" t="s">
        <v>3</v>
      </c>
      <c r="P3" s="1" t="s">
        <v>4</v>
      </c>
      <c r="Q3" s="1" t="s">
        <v>5</v>
      </c>
      <c r="R3" s="1" t="s">
        <v>7</v>
      </c>
      <c r="S3" s="1" t="s">
        <v>8</v>
      </c>
      <c r="T3" s="1" t="s">
        <v>9</v>
      </c>
      <c r="U3" s="1" t="s">
        <v>11</v>
      </c>
      <c r="W3" s="1" t="s">
        <v>29</v>
      </c>
      <c r="X3" s="1" t="s">
        <v>3</v>
      </c>
      <c r="Y3" s="1" t="s">
        <v>7</v>
      </c>
      <c r="Z3" s="1" t="s">
        <v>5</v>
      </c>
      <c r="AA3" s="1" t="s">
        <v>11</v>
      </c>
      <c r="AB3" s="1" t="s">
        <v>33</v>
      </c>
      <c r="AC3" s="1" t="s">
        <v>34</v>
      </c>
    </row>
    <row r="4" spans="1:29" x14ac:dyDescent="0.25">
      <c r="A4" s="31" t="s">
        <v>35</v>
      </c>
      <c r="B4" s="31" t="s">
        <v>16</v>
      </c>
      <c r="C4" s="31" t="s">
        <v>36</v>
      </c>
      <c r="D4" s="32">
        <v>600</v>
      </c>
      <c r="E4" s="33">
        <v>55</v>
      </c>
      <c r="F4" s="33">
        <v>8</v>
      </c>
      <c r="G4" s="32">
        <v>350</v>
      </c>
      <c r="H4" s="34">
        <f t="shared" ref="H4:H15" si="0">ROUND(F4*G4,2)</f>
        <v>2800</v>
      </c>
      <c r="I4" s="34">
        <f t="shared" ref="I4:I15" si="1">IF(E4=0,0,ROUND(D4/E4,2))</f>
        <v>10.91</v>
      </c>
      <c r="J4" s="34">
        <f t="shared" ref="J4:J15" si="2">IF(F4=0,0,ROUND(D4/F4,2))</f>
        <v>75</v>
      </c>
      <c r="K4" s="35">
        <f t="shared" ref="K4:K15" si="3">IF(E4=0,0,ROUND(F4/E4,4))</f>
        <v>0.14549999999999999</v>
      </c>
      <c r="L4" s="35">
        <f t="shared" ref="L4:L15" si="4">IF(D4=0,0,ROUND((H4-D4)/D4,4))</f>
        <v>3.6667000000000001</v>
      </c>
      <c r="N4" s="31" t="s">
        <v>16</v>
      </c>
      <c r="O4" s="36">
        <f>SUMIF($B$4:$B$15,$N4,$D$4:$D$15)</f>
        <v>3300</v>
      </c>
      <c r="P4" s="37">
        <f>SUMIF($B$4:$B$15,$N4,$E$4:$E$15)</f>
        <v>303</v>
      </c>
      <c r="Q4" s="37">
        <f>SUMIF($B$4:$B$15,$N4,$F$4:$F$15)</f>
        <v>48</v>
      </c>
      <c r="R4" s="36">
        <f>SUMIF($B$4:$B$15,$N4,$H$4:$H$15)</f>
        <v>16640</v>
      </c>
      <c r="S4" s="36">
        <f>IF(P4=0,0,ROUND(O4/P4,2))</f>
        <v>10.89</v>
      </c>
      <c r="T4" s="36">
        <f>IF(Q4=0,0,ROUND(O4/Q4,2))</f>
        <v>68.75</v>
      </c>
      <c r="U4" s="38">
        <f>IF(O4=0,0,ROUND((R4-O4)/O4,4))</f>
        <v>4.0423999999999998</v>
      </c>
      <c r="W4" s="39" t="s">
        <v>35</v>
      </c>
      <c r="X4" s="40">
        <f>SUMIF($A$4:$A$15,$W4,$D$4:$D$15)</f>
        <v>1270</v>
      </c>
      <c r="Y4" s="40">
        <f>SUMIF($A$4:$A$15,$W4,$H$4:$H$15)</f>
        <v>8570</v>
      </c>
      <c r="Z4" s="41">
        <f>SUMIF($A$4:$A$15,$W4,$F$4:$F$15)</f>
        <v>26</v>
      </c>
      <c r="AA4" s="42">
        <f>IF(X4=0,0,ROUND((Y4-X4)/X4,4))</f>
        <v>5.7480000000000002</v>
      </c>
      <c r="AB4" s="41">
        <f>SUMIFS($F$4:$F$15,$A$4:$A$15,$W4,$B$4:$B$15,"Paid Social")</f>
        <v>14</v>
      </c>
      <c r="AC4" s="41">
        <f>SUMIFS($F$4:$F$15,$A$4:$A$15,$W4,$B$4:$B$15,"Organic Social")</f>
        <v>12</v>
      </c>
    </row>
    <row r="5" spans="1:29" x14ac:dyDescent="0.25">
      <c r="A5" s="31" t="s">
        <v>35</v>
      </c>
      <c r="B5" s="31" t="s">
        <v>16</v>
      </c>
      <c r="C5" s="31" t="s">
        <v>37</v>
      </c>
      <c r="D5" s="32">
        <v>400</v>
      </c>
      <c r="E5" s="33">
        <v>40</v>
      </c>
      <c r="F5" s="33">
        <v>6</v>
      </c>
      <c r="G5" s="32">
        <v>320</v>
      </c>
      <c r="H5" s="34">
        <f t="shared" si="0"/>
        <v>1920</v>
      </c>
      <c r="I5" s="34">
        <f t="shared" si="1"/>
        <v>10</v>
      </c>
      <c r="J5" s="34">
        <f t="shared" si="2"/>
        <v>66.67</v>
      </c>
      <c r="K5" s="35">
        <f t="shared" si="3"/>
        <v>0.15</v>
      </c>
      <c r="L5" s="35">
        <f t="shared" si="4"/>
        <v>3.8</v>
      </c>
      <c r="N5" s="15" t="s">
        <v>38</v>
      </c>
      <c r="O5" s="43">
        <f>SUMIF($B$4:$B$15,$N5,$D$4:$D$15)</f>
        <v>870</v>
      </c>
      <c r="P5" s="44">
        <f>SUMIF($B$4:$B$15,$N5,$E$4:$E$15)</f>
        <v>181</v>
      </c>
      <c r="Q5" s="44">
        <f>SUMIF($B$4:$B$15,$N5,$F$4:$F$15)</f>
        <v>40</v>
      </c>
      <c r="R5" s="43">
        <f>SUMIF($B$4:$B$15,$N5,$H$4:$H$15)</f>
        <v>13150</v>
      </c>
      <c r="S5" s="43">
        <f>IF(P5=0,0,ROUND(O5/P5,2))</f>
        <v>4.8099999999999996</v>
      </c>
      <c r="T5" s="43">
        <f>IF(Q5=0,0,ROUND(O5/Q5,2))</f>
        <v>21.75</v>
      </c>
      <c r="U5" s="45">
        <f>IF(O5=0,0,ROUND((R5-O5)/O5,4))</f>
        <v>14.1149</v>
      </c>
      <c r="W5" s="39" t="s">
        <v>39</v>
      </c>
      <c r="X5" s="40">
        <f>SUMIF($A$4:$A$15,$W5,$D$4:$D$15)</f>
        <v>1390</v>
      </c>
      <c r="Y5" s="40">
        <f>SUMIF($A$4:$A$15,$W5,$H$4:$H$15)</f>
        <v>9780</v>
      </c>
      <c r="Z5" s="41">
        <f>SUMIF($A$4:$A$15,$W5,$F$4:$F$15)</f>
        <v>29</v>
      </c>
      <c r="AA5" s="42">
        <f>IF(X5=0,0,ROUND((Y5-X5)/X5,4))</f>
        <v>6.0359999999999996</v>
      </c>
      <c r="AB5" s="41">
        <f>SUMIFS($F$4:$F$15,$A$4:$A$15,$W5,$B$4:$B$15,"Paid Social")</f>
        <v>16</v>
      </c>
      <c r="AC5" s="41">
        <f>SUMIFS($F$4:$F$15,$A$4:$A$15,$W5,$B$4:$B$15,"Organic Social")</f>
        <v>13</v>
      </c>
    </row>
    <row r="6" spans="1:29" x14ac:dyDescent="0.25">
      <c r="A6" s="15" t="s">
        <v>35</v>
      </c>
      <c r="B6" s="15" t="s">
        <v>38</v>
      </c>
      <c r="C6" s="15" t="s">
        <v>40</v>
      </c>
      <c r="D6" s="46">
        <v>150</v>
      </c>
      <c r="E6" s="47">
        <v>35</v>
      </c>
      <c r="F6" s="47">
        <v>7</v>
      </c>
      <c r="G6" s="46">
        <v>250</v>
      </c>
      <c r="H6" s="48">
        <f t="shared" si="0"/>
        <v>1750</v>
      </c>
      <c r="I6" s="48">
        <f t="shared" si="1"/>
        <v>4.29</v>
      </c>
      <c r="J6" s="48">
        <f t="shared" si="2"/>
        <v>21.43</v>
      </c>
      <c r="K6" s="49">
        <f t="shared" si="3"/>
        <v>0.2</v>
      </c>
      <c r="L6" s="49">
        <f t="shared" si="4"/>
        <v>10.666700000000001</v>
      </c>
      <c r="N6" s="7" t="s">
        <v>41</v>
      </c>
      <c r="O6" s="50">
        <f>SUM(O4:O5)</f>
        <v>4170</v>
      </c>
      <c r="P6" s="51">
        <f>SUM(P4:P5)</f>
        <v>484</v>
      </c>
      <c r="Q6" s="51">
        <f>SUM(Q4:Q5)</f>
        <v>88</v>
      </c>
      <c r="R6" s="50">
        <f>SUM(R4:R5)</f>
        <v>29790</v>
      </c>
      <c r="S6" s="50">
        <f>IF(P6=0,0,ROUND(O6/P6,2))</f>
        <v>8.6199999999999992</v>
      </c>
      <c r="T6" s="50">
        <f>IF(Q6=0,0,ROUND(O6/Q6,2))</f>
        <v>47.39</v>
      </c>
      <c r="U6" s="52">
        <f>IF(O6=0,0,ROUND((R6-O6)/O6,4))</f>
        <v>6.1439000000000004</v>
      </c>
      <c r="W6" s="39" t="s">
        <v>42</v>
      </c>
      <c r="X6" s="40">
        <f>SUMIF($A$4:$A$15,$W6,$D$4:$D$15)</f>
        <v>1510</v>
      </c>
      <c r="Y6" s="40">
        <f>SUMIF($A$4:$A$15,$W6,$H$4:$H$15)</f>
        <v>11440</v>
      </c>
      <c r="Z6" s="41">
        <f>SUMIF($A$4:$A$15,$W6,$F$4:$F$15)</f>
        <v>33</v>
      </c>
      <c r="AA6" s="42">
        <f>IF(X6=0,0,ROUND((Y6-X6)/X6,4))</f>
        <v>6.5762</v>
      </c>
      <c r="AB6" s="41">
        <f>SUMIFS($F$4:$F$15,$A$4:$A$15,$W6,$B$4:$B$15,"Paid Social")</f>
        <v>18</v>
      </c>
      <c r="AC6" s="41">
        <f>SUMIFS($F$4:$F$15,$A$4:$A$15,$W6,$B$4:$B$15,"Organic Social")</f>
        <v>15</v>
      </c>
    </row>
    <row r="7" spans="1:29" x14ac:dyDescent="0.25">
      <c r="A7" s="15" t="s">
        <v>35</v>
      </c>
      <c r="B7" s="15" t="s">
        <v>38</v>
      </c>
      <c r="C7" s="15" t="s">
        <v>43</v>
      </c>
      <c r="D7" s="46">
        <v>120</v>
      </c>
      <c r="E7" s="47">
        <v>20</v>
      </c>
      <c r="F7" s="47">
        <v>5</v>
      </c>
      <c r="G7" s="46">
        <v>420</v>
      </c>
      <c r="H7" s="48">
        <f t="shared" si="0"/>
        <v>2100</v>
      </c>
      <c r="I7" s="48">
        <f t="shared" si="1"/>
        <v>6</v>
      </c>
      <c r="J7" s="48">
        <f t="shared" si="2"/>
        <v>24</v>
      </c>
      <c r="K7" s="49">
        <f t="shared" si="3"/>
        <v>0.25</v>
      </c>
      <c r="L7" s="49">
        <f t="shared" si="4"/>
        <v>16.5</v>
      </c>
    </row>
    <row r="8" spans="1:29" x14ac:dyDescent="0.25">
      <c r="A8" s="31" t="s">
        <v>39</v>
      </c>
      <c r="B8" s="31" t="s">
        <v>16</v>
      </c>
      <c r="C8" s="31" t="s">
        <v>36</v>
      </c>
      <c r="D8" s="32">
        <v>650</v>
      </c>
      <c r="E8" s="33">
        <v>58</v>
      </c>
      <c r="F8" s="33">
        <v>9</v>
      </c>
      <c r="G8" s="32">
        <v>360</v>
      </c>
      <c r="H8" s="34">
        <f t="shared" si="0"/>
        <v>3240</v>
      </c>
      <c r="I8" s="34">
        <f t="shared" si="1"/>
        <v>11.21</v>
      </c>
      <c r="J8" s="34">
        <f t="shared" si="2"/>
        <v>72.22</v>
      </c>
      <c r="K8" s="35">
        <f t="shared" si="3"/>
        <v>0.1552</v>
      </c>
      <c r="L8" s="35">
        <f t="shared" si="4"/>
        <v>3.9845999999999999</v>
      </c>
      <c r="N8" s="30" t="s">
        <v>44</v>
      </c>
    </row>
    <row r="9" spans="1:29" x14ac:dyDescent="0.25">
      <c r="A9" s="31" t="s">
        <v>39</v>
      </c>
      <c r="B9" s="31" t="s">
        <v>16</v>
      </c>
      <c r="C9" s="31" t="s">
        <v>37</v>
      </c>
      <c r="D9" s="32">
        <v>450</v>
      </c>
      <c r="E9" s="33">
        <v>42</v>
      </c>
      <c r="F9" s="33">
        <v>7</v>
      </c>
      <c r="G9" s="32">
        <v>330</v>
      </c>
      <c r="H9" s="34">
        <f t="shared" si="0"/>
        <v>2310</v>
      </c>
      <c r="I9" s="34">
        <f t="shared" si="1"/>
        <v>10.71</v>
      </c>
      <c r="J9" s="34">
        <f t="shared" si="2"/>
        <v>64.290000000000006</v>
      </c>
      <c r="K9" s="35">
        <f t="shared" si="3"/>
        <v>0.16669999999999999</v>
      </c>
      <c r="L9" s="35">
        <f t="shared" si="4"/>
        <v>4.1333000000000002</v>
      </c>
    </row>
    <row r="10" spans="1:29" x14ac:dyDescent="0.25">
      <c r="A10" s="15" t="s">
        <v>39</v>
      </c>
      <c r="B10" s="15" t="s">
        <v>38</v>
      </c>
      <c r="C10" s="15" t="s">
        <v>40</v>
      </c>
      <c r="D10" s="46">
        <v>160</v>
      </c>
      <c r="E10" s="47">
        <v>38</v>
      </c>
      <c r="F10" s="47">
        <v>8</v>
      </c>
      <c r="G10" s="46">
        <v>260</v>
      </c>
      <c r="H10" s="48">
        <f t="shared" si="0"/>
        <v>2080</v>
      </c>
      <c r="I10" s="48">
        <f t="shared" si="1"/>
        <v>4.21</v>
      </c>
      <c r="J10" s="48">
        <f t="shared" si="2"/>
        <v>20</v>
      </c>
      <c r="K10" s="49">
        <f t="shared" si="3"/>
        <v>0.21049999999999999</v>
      </c>
      <c r="L10" s="49">
        <f t="shared" si="4"/>
        <v>12</v>
      </c>
    </row>
    <row r="11" spans="1:29" x14ac:dyDescent="0.25">
      <c r="A11" s="15" t="s">
        <v>39</v>
      </c>
      <c r="B11" s="15" t="s">
        <v>38</v>
      </c>
      <c r="C11" s="15" t="s">
        <v>43</v>
      </c>
      <c r="D11" s="46">
        <v>130</v>
      </c>
      <c r="E11" s="47">
        <v>22</v>
      </c>
      <c r="F11" s="47">
        <v>5</v>
      </c>
      <c r="G11" s="46">
        <v>430</v>
      </c>
      <c r="H11" s="48">
        <f t="shared" si="0"/>
        <v>2150</v>
      </c>
      <c r="I11" s="48">
        <f t="shared" si="1"/>
        <v>5.91</v>
      </c>
      <c r="J11" s="48">
        <f t="shared" si="2"/>
        <v>26</v>
      </c>
      <c r="K11" s="49">
        <f t="shared" si="3"/>
        <v>0.2273</v>
      </c>
      <c r="L11" s="49">
        <f t="shared" si="4"/>
        <v>15.538500000000001</v>
      </c>
    </row>
    <row r="12" spans="1:29" x14ac:dyDescent="0.25">
      <c r="A12" s="31" t="s">
        <v>42</v>
      </c>
      <c r="B12" s="31" t="s">
        <v>16</v>
      </c>
      <c r="C12" s="31" t="s">
        <v>36</v>
      </c>
      <c r="D12" s="32">
        <v>700</v>
      </c>
      <c r="E12" s="33">
        <v>62</v>
      </c>
      <c r="F12" s="33">
        <v>10</v>
      </c>
      <c r="G12" s="32">
        <v>365</v>
      </c>
      <c r="H12" s="34">
        <f t="shared" si="0"/>
        <v>3650</v>
      </c>
      <c r="I12" s="34">
        <f t="shared" si="1"/>
        <v>11.29</v>
      </c>
      <c r="J12" s="34">
        <f t="shared" si="2"/>
        <v>70</v>
      </c>
      <c r="K12" s="35">
        <f t="shared" si="3"/>
        <v>0.1613</v>
      </c>
      <c r="L12" s="35">
        <f t="shared" si="4"/>
        <v>4.2142999999999997</v>
      </c>
    </row>
    <row r="13" spans="1:29" x14ac:dyDescent="0.25">
      <c r="A13" s="31" t="s">
        <v>42</v>
      </c>
      <c r="B13" s="31" t="s">
        <v>16</v>
      </c>
      <c r="C13" s="31" t="s">
        <v>37</v>
      </c>
      <c r="D13" s="32">
        <v>500</v>
      </c>
      <c r="E13" s="33">
        <v>46</v>
      </c>
      <c r="F13" s="33">
        <v>8</v>
      </c>
      <c r="G13" s="32">
        <v>340</v>
      </c>
      <c r="H13" s="34">
        <f t="shared" si="0"/>
        <v>2720</v>
      </c>
      <c r="I13" s="34">
        <f t="shared" si="1"/>
        <v>10.87</v>
      </c>
      <c r="J13" s="34">
        <f t="shared" si="2"/>
        <v>62.5</v>
      </c>
      <c r="K13" s="35">
        <f t="shared" si="3"/>
        <v>0.1739</v>
      </c>
      <c r="L13" s="35">
        <f t="shared" si="4"/>
        <v>4.4400000000000004</v>
      </c>
    </row>
    <row r="14" spans="1:29" x14ac:dyDescent="0.25">
      <c r="A14" s="15" t="s">
        <v>42</v>
      </c>
      <c r="B14" s="15" t="s">
        <v>38</v>
      </c>
      <c r="C14" s="15" t="s">
        <v>40</v>
      </c>
      <c r="D14" s="46">
        <v>170</v>
      </c>
      <c r="E14" s="47">
        <v>42</v>
      </c>
      <c r="F14" s="47">
        <v>9</v>
      </c>
      <c r="G14" s="46">
        <v>270</v>
      </c>
      <c r="H14" s="48">
        <f t="shared" si="0"/>
        <v>2430</v>
      </c>
      <c r="I14" s="48">
        <f t="shared" si="1"/>
        <v>4.05</v>
      </c>
      <c r="J14" s="48">
        <f t="shared" si="2"/>
        <v>18.89</v>
      </c>
      <c r="K14" s="49">
        <f t="shared" si="3"/>
        <v>0.21429999999999999</v>
      </c>
      <c r="L14" s="49">
        <f t="shared" si="4"/>
        <v>13.2941</v>
      </c>
    </row>
    <row r="15" spans="1:29" x14ac:dyDescent="0.25">
      <c r="A15" s="15" t="s">
        <v>42</v>
      </c>
      <c r="B15" s="15" t="s">
        <v>38</v>
      </c>
      <c r="C15" s="15" t="s">
        <v>43</v>
      </c>
      <c r="D15" s="46">
        <v>140</v>
      </c>
      <c r="E15" s="47">
        <v>24</v>
      </c>
      <c r="F15" s="47">
        <v>6</v>
      </c>
      <c r="G15" s="46">
        <v>440</v>
      </c>
      <c r="H15" s="48">
        <f t="shared" si="0"/>
        <v>2640</v>
      </c>
      <c r="I15" s="48">
        <f t="shared" si="1"/>
        <v>5.83</v>
      </c>
      <c r="J15" s="48">
        <f t="shared" si="2"/>
        <v>23.33</v>
      </c>
      <c r="K15" s="49">
        <f t="shared" si="3"/>
        <v>0.25</v>
      </c>
      <c r="L15" s="49">
        <f t="shared" si="4"/>
        <v>17.857099999999999</v>
      </c>
    </row>
  </sheetData>
  <mergeCells count="3">
    <mergeCell ref="A1:AC1"/>
    <mergeCell ref="W2:AC2"/>
    <mergeCell ref="N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"/>
  <sheetViews>
    <sheetView showGridLines="0" workbookViewId="0">
      <selection activeCell="Q24" sqref="Q24"/>
    </sheetView>
  </sheetViews>
  <sheetFormatPr defaultRowHeight="15" x14ac:dyDescent="0.25"/>
  <cols>
    <col min="1" max="12" width="16" customWidth="1"/>
  </cols>
  <sheetData>
    <row r="1" spans="1:12" ht="21" x14ac:dyDescent="0.25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3" spans="1:12" x14ac:dyDescent="0.25">
      <c r="A3" s="58" t="s">
        <v>46</v>
      </c>
      <c r="B3" s="56"/>
      <c r="C3" s="56"/>
      <c r="D3" s="57"/>
      <c r="E3" s="58" t="s">
        <v>47</v>
      </c>
      <c r="F3" s="56"/>
      <c r="G3" s="56"/>
      <c r="H3" s="57"/>
      <c r="I3" s="58" t="s">
        <v>48</v>
      </c>
      <c r="J3" s="56"/>
      <c r="K3" s="56"/>
      <c r="L3" s="57"/>
    </row>
    <row r="4" spans="1:12" x14ac:dyDescent="0.25">
      <c r="A4" s="59" t="str">
        <f>INDEX('ROI Calculator'!$A$4:$A$7, MATCH(MAX('ROI Calculator'!$K$4:$K$7), 'ROI Calculator'!$K$4:$K$7, 0))</f>
        <v>Email</v>
      </c>
      <c r="B4" s="56"/>
      <c r="C4" s="56"/>
      <c r="D4" s="57"/>
      <c r="E4" s="55">
        <f>MAX('ROI Calculator'!$K$4:$K$7)</f>
        <v>14</v>
      </c>
      <c r="F4" s="56"/>
      <c r="G4" s="56"/>
      <c r="H4" s="57"/>
      <c r="I4" s="55">
        <f>'ROI Calculator'!$K$11</f>
        <v>5.1554000000000002</v>
      </c>
      <c r="J4" s="56"/>
      <c r="K4" s="56"/>
      <c r="L4" s="57"/>
    </row>
    <row r="6" spans="1:12" x14ac:dyDescent="0.25">
      <c r="A6" s="58" t="s">
        <v>49</v>
      </c>
      <c r="B6" s="56"/>
      <c r="C6" s="56"/>
      <c r="D6" s="57"/>
      <c r="E6" s="58" t="s">
        <v>50</v>
      </c>
      <c r="F6" s="56"/>
      <c r="G6" s="56"/>
      <c r="H6" s="57"/>
      <c r="I6" s="58" t="s">
        <v>51</v>
      </c>
      <c r="J6" s="56"/>
      <c r="K6" s="56"/>
      <c r="L6" s="57"/>
    </row>
    <row r="7" spans="1:12" x14ac:dyDescent="0.25">
      <c r="A7" s="59" t="str">
        <f>INDEX('ROI Calculator'!$A$4:$A$7, MATCH(MIN('ROI Calculator'!$I$4:$I$7), 'ROI Calculator'!$I$4:$I$7, 0))</f>
        <v>Email</v>
      </c>
      <c r="B7" s="56"/>
      <c r="C7" s="56"/>
      <c r="D7" s="57"/>
      <c r="E7" s="59" t="str">
        <f>IF('Social Breakdown'!$U$4&gt;'Social Breakdown'!$U$5,"Paid Social","Organic Social")</f>
        <v>Organic Social</v>
      </c>
      <c r="F7" s="56"/>
      <c r="G7" s="56"/>
      <c r="H7" s="57"/>
      <c r="I7" s="60">
        <f>'ROI Calculator'!$E$11</f>
        <v>143</v>
      </c>
      <c r="J7" s="56"/>
      <c r="K7" s="56"/>
      <c r="L7" s="57"/>
    </row>
  </sheetData>
  <mergeCells count="13">
    <mergeCell ref="A1:L1"/>
    <mergeCell ref="I4:L4"/>
    <mergeCell ref="E6:H6"/>
    <mergeCell ref="A7:D7"/>
    <mergeCell ref="I6:L6"/>
    <mergeCell ref="E7:H7"/>
    <mergeCell ref="I7:L7"/>
    <mergeCell ref="A6:D6"/>
    <mergeCell ref="E3:H3"/>
    <mergeCell ref="I3:L3"/>
    <mergeCell ref="A4:D4"/>
    <mergeCell ref="A3:D3"/>
    <mergeCell ref="E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ROI Calculator</vt:lpstr>
      <vt:lpstr>Social Breakdown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Morris</dc:creator>
  <cp:lastModifiedBy>Lee Morris</cp:lastModifiedBy>
  <dcterms:created xsi:type="dcterms:W3CDTF">2026-03-23T16:22:26Z</dcterms:created>
  <dcterms:modified xsi:type="dcterms:W3CDTF">2026-03-24T12:30:19Z</dcterms:modified>
</cp:coreProperties>
</file>